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EB47B54C-9C91-4405-93EA-2A5F97AB984F}" xr6:coauthVersionLast="45" xr6:coauthVersionMax="45" xr10:uidLastSave="{00000000-0000-0000-0000-000000000000}"/>
  <bookViews>
    <workbookView minimized="1" xWindow="168" yWindow="168" windowWidth="23256" windowHeight="13176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Input'!$A$1:$H$39</definedName>
    <definedName name="_xlnm.Print_Area" localSheetId="2">'Financial Input'!$A$1:$N$58</definedName>
    <definedName name="_xlnm.Print_Area" localSheetId="0">Summary!$A$1:$X$39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3" l="1"/>
  <c r="G21" i="3"/>
  <c r="M20" i="5" l="1"/>
  <c r="M12" i="5"/>
  <c r="C19" i="3" l="1"/>
  <c r="D19" i="3"/>
  <c r="C22" i="3"/>
  <c r="D22" i="3"/>
  <c r="G19" i="3"/>
  <c r="G20" i="3"/>
  <c r="H19" i="3"/>
  <c r="F20" i="3" l="1"/>
  <c r="C24" i="3" l="1"/>
  <c r="B24" i="3"/>
  <c r="C23" i="3"/>
  <c r="B23" i="3"/>
  <c r="B22" i="3" l="1"/>
  <c r="C21" i="3"/>
  <c r="B21" i="3"/>
  <c r="C20" i="3"/>
  <c r="B20" i="3"/>
  <c r="B19" i="3"/>
  <c r="C18" i="3"/>
  <c r="B18" i="3"/>
  <c r="F18" i="3"/>
  <c r="G18" i="3"/>
  <c r="F19" i="3"/>
  <c r="M16" i="5" l="1"/>
  <c r="M8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C2" i="4" l="1"/>
  <c r="B35" i="4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<sst xmlns="http://schemas.openxmlformats.org/spreadsheetml/2006/main" count="150" uniqueCount="49">
  <si>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</si>
  <si>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</si>
  <si>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</si>
  <si>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</si>
  <si>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</si>
  <si>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</si>
  <si>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</si>
  <si>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</si>
  <si>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</si>
  <si>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</si>
  <si>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</si>
  <si>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</si>
  <si>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</si>
  <si>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</si>
  <si>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</si>
  <si>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</si>
  <si>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</si>
  <si>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</si>
  <si>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</si>
  <si>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</si>
  <si>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</si>
  <si>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</si>
  <si>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</si>
  <si>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</si>
  <si>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</si>
  <si>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</si>
  <si>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</si>
  <si>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</si>
  <si>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</si>
  <si>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</si>
  <si>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</si>
  <si>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</si>
  <si>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</si>
  <si>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</si>
  <si>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</si>
  <si>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</si>
  <si>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</si>
  <si>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</si>
  <si>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</si>
  <si>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</si>
  <si>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</si>
  <si>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</si>
  <si>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</si>
  <si>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</si>
  <si>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</si>
  <si>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</si>
  <si>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ABC Utility</t>
  </si>
  <si>
    <t>60-90 days</t>
  </si>
  <si>
    <t>90+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</si>
</sst>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27184.287240000001</c:v>
                </c:pt>
                <c:pt idx="1">
                  <c:v>30591.783840000004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656165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opLeftCell="A49" zoomScale="90" zoomScaleNormal="90" zoomScaleSheetLayoutView="90" workbookViewId="0">
      <selection activeCell="P33" sqref="P33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4.7109375" customWidth="1"/>
  </cols>
  <sheetData>
    <row r="1" spans="1:55" ht="65.25" customHeight="1" x14ac:dyDescent="1.1000000000000001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55" t="str">
        <f>'Demand Input'!C8</f>
        <v>ABC Utility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53" t="s">
        <v>8</v>
      </c>
      <c r="E31" s="53"/>
      <c r="F31" s="16"/>
      <c r="G31" s="53" t="s">
        <v>9</v>
      </c>
      <c r="H31" s="53"/>
      <c r="I31" s="16"/>
      <c r="J31" s="53" t="s">
        <v>10</v>
      </c>
      <c r="K31" s="53"/>
      <c r="L31" s="16"/>
      <c r="M31" s="53" t="s">
        <v>2</v>
      </c>
      <c r="N31" s="53"/>
      <c r="O31" s="16"/>
      <c r="P31" s="53" t="s">
        <v>11</v>
      </c>
      <c r="Q31" s="53"/>
      <c r="R31" s="16"/>
      <c r="S31" s="53" t="s">
        <v>12</v>
      </c>
      <c r="T31" s="53"/>
      <c r="U31" s="16"/>
      <c r="V31" s="53" t="s">
        <v>13</v>
      </c>
      <c r="W31" s="53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A62</f>
        <v>Residential Demand (Kgal)</v>
      </c>
      <c r="C32" s="11"/>
      <c r="D32" s="15">
        <f>C64</f>
        <v>111009.96192</v>
      </c>
      <c r="E32" s="14">
        <f>B64</f>
        <v>104204.22408000001</v>
      </c>
      <c r="G32" s="15">
        <f>C65</f>
        <v>123525.13140000001</v>
      </c>
      <c r="H32" s="14">
        <f>B65</f>
        <v>116687.49136</v>
      </c>
      <c r="J32" s="15">
        <f>C66</f>
        <v>113258.78652000001</v>
      </c>
      <c r="K32" s="14">
        <f>B66</f>
        <v>109598.96464000001</v>
      </c>
      <c r="M32" s="15">
        <f>C67</f>
        <v>107128.05136</v>
      </c>
      <c r="N32" s="14">
        <f>B67</f>
        <v>109656.01460000001</v>
      </c>
      <c r="P32" s="15">
        <f>C68</f>
        <v>144930.45292000001</v>
      </c>
      <c r="Q32" s="14">
        <f>B68</f>
        <v>0</v>
      </c>
      <c r="S32" s="15">
        <f>C69</f>
        <v>151028.01428</v>
      </c>
      <c r="T32" s="14">
        <f>B69</f>
        <v>0</v>
      </c>
      <c r="V32" s="15">
        <f>C70</f>
        <v>143816.33684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A73</f>
        <v>Non-Residential Demand (Kgal)</v>
      </c>
      <c r="C33" s="11"/>
      <c r="D33" s="15">
        <f>C75</f>
        <v>24891.70464</v>
      </c>
      <c r="E33" s="14">
        <f>B75</f>
        <v>27184.287240000001</v>
      </c>
      <c r="G33" s="15">
        <f>C76</f>
        <v>42416.79552</v>
      </c>
      <c r="H33" s="14">
        <f>B76</f>
        <v>30591.783840000004</v>
      </c>
      <c r="J33" s="15">
        <f>C77</f>
        <v>33427.880640000003</v>
      </c>
      <c r="K33" s="14">
        <f>B77</f>
        <v>30008.585640000001</v>
      </c>
      <c r="M33" s="15">
        <f>C78</f>
        <v>26254.44844</v>
      </c>
      <c r="N33" s="14">
        <f>B78</f>
        <v>21459.484200000003</v>
      </c>
      <c r="P33" s="15">
        <f>C79</f>
        <v>33248.873200000002</v>
      </c>
      <c r="Q33" s="14">
        <f>B79</f>
        <v>0</v>
      </c>
      <c r="S33" s="15">
        <f>C80</f>
        <v>42679.937520000007</v>
      </c>
      <c r="T33" s="14">
        <f>B80</f>
        <v>0</v>
      </c>
      <c r="V33" s="15">
        <f>C81</f>
        <v>34036.498319999999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A84</f>
        <v>Wholesale Demand (Kgal)</v>
      </c>
      <c r="C34" s="11"/>
      <c r="D34" s="15">
        <f>C86</f>
        <v>0</v>
      </c>
      <c r="E34" s="14">
        <f>B86</f>
        <v>0</v>
      </c>
      <c r="G34" s="15">
        <f>C87</f>
        <v>14013.78</v>
      </c>
      <c r="H34" s="14">
        <f>B87</f>
        <v>21965.02</v>
      </c>
      <c r="J34" s="15">
        <f>C88</f>
        <v>0</v>
      </c>
      <c r="K34" s="14">
        <f>B88</f>
        <v>0</v>
      </c>
      <c r="M34" s="15">
        <f>C89</f>
        <v>0</v>
      </c>
      <c r="N34" s="14">
        <f>B89</f>
        <v>0</v>
      </c>
      <c r="P34" s="15">
        <f>C90</f>
        <v>30443.599999999999</v>
      </c>
      <c r="Q34" s="14">
        <f>B90</f>
        <v>0</v>
      </c>
      <c r="S34" s="15">
        <f>C91</f>
        <v>0</v>
      </c>
      <c r="T34" s="14">
        <f>B91</f>
        <v>0</v>
      </c>
      <c r="V34" s="15">
        <f>C92</f>
        <v>0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135901.66656000001</v>
      </c>
      <c r="E35" s="14">
        <f>SUM(E32:E34)</f>
        <v>131388.51132000002</v>
      </c>
      <c r="G35" s="15">
        <f>SUM(G32:G34)</f>
        <v>179955.70692</v>
      </c>
      <c r="H35" s="14">
        <f>SUM(H32:H34)</f>
        <v>169244.29519999999</v>
      </c>
      <c r="J35" s="15">
        <f>SUM(J32:J34)</f>
        <v>146686.66716000001</v>
      </c>
      <c r="K35" s="14">
        <f>SUM(K32:K34)</f>
        <v>139607.55028</v>
      </c>
      <c r="M35" s="15">
        <f>SUM(M32:M34)</f>
        <v>133382.49979999999</v>
      </c>
      <c r="N35" s="14">
        <f>SUM(N32:N34)</f>
        <v>131115.4988</v>
      </c>
      <c r="P35" s="15">
        <f>SUM(P32:P34)</f>
        <v>208622.92612000002</v>
      </c>
      <c r="Q35" s="14">
        <f>SUM(Q32:Q34)</f>
        <v>0</v>
      </c>
      <c r="S35" s="15">
        <f>SUM(S32:S34)</f>
        <v>193707.95180000001</v>
      </c>
      <c r="T35" s="14">
        <f>SUM(T32:T34)</f>
        <v>0</v>
      </c>
      <c r="V35" s="15">
        <f>SUM(V32:V34)</f>
        <v>177852.83516000002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2">
        <f>E35/D35-1</f>
        <v>-3.3208976418309444E-2</v>
      </c>
      <c r="E36" s="52"/>
      <c r="F36" s="19"/>
      <c r="G36" s="52">
        <f>H35/G35-1</f>
        <v>-5.9522489746667517E-2</v>
      </c>
      <c r="H36" s="52"/>
      <c r="I36" s="19"/>
      <c r="J36" s="52">
        <f>K35/J35-1</f>
        <v>-4.8260124911546298E-2</v>
      </c>
      <c r="K36" s="52"/>
      <c r="L36" s="19"/>
      <c r="M36" s="52">
        <f>N35/M35-1</f>
        <v>-1.6996240161934573E-2</v>
      </c>
      <c r="N36" s="52"/>
      <c r="O36" s="19"/>
      <c r="P36" s="52">
        <f>Q35/P35-1</f>
        <v>-1</v>
      </c>
      <c r="Q36" s="52"/>
      <c r="R36" s="19"/>
      <c r="S36" s="52">
        <f>T35/S35-1</f>
        <v>-1</v>
      </c>
      <c r="T36" s="52"/>
      <c r="U36" s="19"/>
      <c r="V36" s="52">
        <f>W35/V35-1</f>
        <v>-1</v>
      </c>
      <c r="W36" s="52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4" t="s">
        <v>24</v>
      </c>
      <c r="B50" s="54"/>
      <c r="C50" s="54"/>
      <c r="D50" s="54"/>
      <c r="E50" s="54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Input'!F31</f>
        <v>167.53200000000001</v>
      </c>
      <c r="C54" s="23">
        <f>'Demand Input'!D31</f>
        <v>173.84700000000001</v>
      </c>
      <c r="D54" s="5">
        <f t="shared" ref="D54:D60" si="0">B54/C54</f>
        <v>0.96367495556437555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Input'!F32</f>
        <v>190.30600000000001</v>
      </c>
      <c r="C55" s="23">
        <f>'Demand Input'!D32</f>
        <v>195.333</v>
      </c>
      <c r="D55" s="5">
        <f t="shared" si="0"/>
        <v>0.97426446120215227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Input'!F33</f>
        <v>178.22</v>
      </c>
      <c r="C56" s="23">
        <f>'Demand Input'!D33</f>
        <v>193.55099999999999</v>
      </c>
      <c r="D56" s="5">
        <f t="shared" si="0"/>
        <v>0.92079090265614749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Input'!F34</f>
        <v>240.625</v>
      </c>
      <c r="C57" s="23">
        <f>'Demand Input'!D34</f>
        <v>228.09100000000001</v>
      </c>
      <c r="D57" s="5">
        <f t="shared" si="0"/>
        <v>1.0549517517131319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Input'!F35</f>
        <v>0</v>
      </c>
      <c r="C58" s="23">
        <f>'Demand Input'!D35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Input'!F36</f>
        <v>0</v>
      </c>
      <c r="C59" s="23">
        <f>'Demand Input'!D36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Input'!F37</f>
        <v>0</v>
      </c>
      <c r="C60" s="23">
        <f>'Demand Input'!D37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(Kgal)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104204.22408000001</v>
      </c>
      <c r="C64" s="6">
        <f>'Demand Input'!B18</f>
        <v>111009.96192</v>
      </c>
      <c r="D64" s="4">
        <f>B64/C64</f>
        <v>0.93869254864798002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116687.49136</v>
      </c>
      <c r="C65" s="6">
        <f>'Demand Input'!B19</f>
        <v>123525.13140000001</v>
      </c>
      <c r="D65" s="4">
        <f t="shared" ref="D65:D70" si="1">B65/C65</f>
        <v>0.94464575781054372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109598.96464000001</v>
      </c>
      <c r="C66" s="6">
        <f>'Demand Input'!B20</f>
        <v>113258.78652000001</v>
      </c>
      <c r="D66" s="4">
        <f t="shared" si="1"/>
        <v>0.9676861990804243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109656.01460000001</v>
      </c>
      <c r="C67" s="6">
        <f>'Demand Input'!B21</f>
        <v>107128.05136</v>
      </c>
      <c r="D67" s="4">
        <f t="shared" si="1"/>
        <v>1.0235975844599738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0</v>
      </c>
      <c r="C68" s="6">
        <f>'Demand Input'!B22</f>
        <v>144930.45292000001</v>
      </c>
      <c r="D68" s="4">
        <f t="shared" si="1"/>
        <v>0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0</v>
      </c>
      <c r="C69" s="6">
        <f>'Demand Input'!B23</f>
        <v>151028.01428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0</v>
      </c>
      <c r="C70" s="6">
        <f>'Demand Input'!B24</f>
        <v>143816.33684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25">
      <c r="A73" s="7" t="str">
        <f>"Non-Residential Demand ("&amp;'Demand Input'!$C$9&amp;")"</f>
        <v>Non-Residential Demand (Kgal)</v>
      </c>
    </row>
    <row r="74" spans="1:21" x14ac:dyDescent="0.25">
      <c r="A74" s="2" t="s">
        <v>3</v>
      </c>
      <c r="B74" s="3" t="s">
        <v>0</v>
      </c>
      <c r="C74" s="3" t="s">
        <v>1</v>
      </c>
    </row>
    <row r="75" spans="1:21" x14ac:dyDescent="0.25">
      <c r="A75" s="1" t="s">
        <v>8</v>
      </c>
      <c r="B75" s="6">
        <f>'Demand Input'!G18</f>
        <v>27184.287240000001</v>
      </c>
      <c r="C75" s="6">
        <f>'Demand Input'!C18</f>
        <v>24891.70464</v>
      </c>
      <c r="D75" s="4">
        <f>B75/C75</f>
        <v>1.092102273956598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9</v>
      </c>
      <c r="B76" s="6">
        <f>'Demand Input'!G19</f>
        <v>30591.783840000004</v>
      </c>
      <c r="C76" s="6">
        <f>'Demand Input'!C19</f>
        <v>42416.79552</v>
      </c>
      <c r="D76" s="4">
        <f t="shared" ref="D76:D81" si="2">B76/C76</f>
        <v>0.72121864617461806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10</v>
      </c>
      <c r="B77" s="6">
        <f>'Demand Input'!G20</f>
        <v>30008.585640000001</v>
      </c>
      <c r="C77" s="6">
        <f>'Demand Input'!C20</f>
        <v>33427.880640000003</v>
      </c>
      <c r="D77" s="4">
        <f t="shared" si="2"/>
        <v>0.89771128367891639</v>
      </c>
      <c r="E77" s="4"/>
      <c r="F77" s="4"/>
      <c r="I77" s="4"/>
      <c r="L77" s="4"/>
      <c r="O77" s="4"/>
      <c r="R77" s="4"/>
      <c r="U77" s="4"/>
    </row>
    <row r="78" spans="1:21" x14ac:dyDescent="0.25">
      <c r="A78" s="1" t="s">
        <v>2</v>
      </c>
      <c r="B78" s="6">
        <f>'Demand Input'!G21</f>
        <v>21459.484200000003</v>
      </c>
      <c r="C78" s="6">
        <f>'Demand Input'!C21</f>
        <v>26254.44844</v>
      </c>
      <c r="D78" s="4">
        <f t="shared" si="2"/>
        <v>0.81736564563685055</v>
      </c>
      <c r="E78" s="4"/>
      <c r="F78" s="4"/>
      <c r="I78" s="4"/>
      <c r="L78" s="4"/>
      <c r="O78" s="4"/>
      <c r="R78" s="4"/>
      <c r="U78" s="4"/>
    </row>
    <row r="79" spans="1:21" x14ac:dyDescent="0.25">
      <c r="A79" s="1" t="s">
        <v>11</v>
      </c>
      <c r="B79" s="6">
        <f>'Demand Input'!G22</f>
        <v>0</v>
      </c>
      <c r="C79" s="6">
        <f>'Demand Input'!C22</f>
        <v>33248.873200000002</v>
      </c>
      <c r="D79" s="4">
        <f t="shared" si="2"/>
        <v>0</v>
      </c>
      <c r="E79" s="4"/>
      <c r="F79" s="4"/>
      <c r="I79" s="4"/>
      <c r="L79" s="4"/>
      <c r="O79" s="4"/>
      <c r="R79" s="4"/>
      <c r="U79" s="4"/>
    </row>
    <row r="80" spans="1:21" x14ac:dyDescent="0.25">
      <c r="A80" s="1" t="s">
        <v>12</v>
      </c>
      <c r="B80" s="6">
        <f>'Demand Input'!G23</f>
        <v>0</v>
      </c>
      <c r="C80" s="6">
        <f>'Demand Input'!C23</f>
        <v>42679.937520000007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13</v>
      </c>
      <c r="B81" s="6">
        <f>'Demand Input'!G24</f>
        <v>0</v>
      </c>
      <c r="C81" s="6">
        <f>'Demand Input'!C24</f>
        <v>34036.498319999999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25">
      <c r="A84" s="7" t="str">
        <f>"Wholesale Demand ("&amp;'Demand Input'!$C$9&amp;")"</f>
        <v>Wholesale Demand (Kgal)</v>
      </c>
    </row>
    <row r="85" spans="1:21" x14ac:dyDescent="0.25">
      <c r="A85" s="2" t="s">
        <v>3</v>
      </c>
      <c r="B85" s="3" t="s">
        <v>0</v>
      </c>
      <c r="C85" s="3" t="s">
        <v>1</v>
      </c>
    </row>
    <row r="86" spans="1:21" x14ac:dyDescent="0.25">
      <c r="A86" s="1" t="s">
        <v>8</v>
      </c>
      <c r="B86" s="6">
        <f>'Demand Input'!H18</f>
        <v>0</v>
      </c>
      <c r="C86" s="6">
        <f>'Demand Input'!D18</f>
        <v>0</v>
      </c>
      <c r="D86" s="4" t="e">
        <f>B86/C86</f>
        <v>#DIV/0!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Input'!H19</f>
        <v>21965.02</v>
      </c>
      <c r="C87" s="6">
        <f>'Demand Input'!D19</f>
        <v>14013.78</v>
      </c>
      <c r="D87" s="4">
        <f t="shared" ref="D87:D92" si="3">B87/C87</f>
        <v>1.5673872431278355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10</v>
      </c>
      <c r="B88" s="6">
        <f>'Demand Input'!H20</f>
        <v>0</v>
      </c>
      <c r="C88" s="6">
        <f>'Demand Input'!D20</f>
        <v>0</v>
      </c>
      <c r="D88" s="4" t="e">
        <f t="shared" si="3"/>
        <v>#DIV/0!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2</v>
      </c>
      <c r="B89" s="6">
        <f>'Demand Input'!H21</f>
        <v>0</v>
      </c>
      <c r="C89" s="6">
        <f>'Demand Input'!D21</f>
        <v>0</v>
      </c>
      <c r="D89" s="4" t="e">
        <f t="shared" si="3"/>
        <v>#DIV/0!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Input'!H22</f>
        <v>0</v>
      </c>
      <c r="C90" s="6">
        <f>'Demand Input'!D22</f>
        <v>30443.599999999999</v>
      </c>
      <c r="D90" s="4">
        <f t="shared" si="3"/>
        <v>0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Input'!H23</f>
        <v>0</v>
      </c>
      <c r="C91" s="6">
        <f>'Demand Input'!D23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13</v>
      </c>
      <c r="B92" s="6">
        <f>'Demand Input'!H24</f>
        <v>0</v>
      </c>
      <c r="C92" s="6">
        <f>'Demand Input'!D24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</sheetData>
  <mergeCells count="17"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topLeftCell="A17" zoomScaleNormal="100" workbookViewId="0">
      <selection activeCell="H34" sqref="H3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22</v>
      </c>
      <c r="B1" s="60"/>
      <c r="C1" s="60"/>
      <c r="D1" s="60"/>
      <c r="E1" s="60"/>
      <c r="F1" s="60"/>
      <c r="G1" s="60"/>
      <c r="H1" s="60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61" t="str">
        <f>C8</f>
        <v>ABC Utility</v>
      </c>
      <c r="D5" s="61"/>
      <c r="E5" s="61"/>
      <c r="F5" s="61"/>
      <c r="G5" s="61"/>
      <c r="H5" s="6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61"/>
      <c r="D6" s="61"/>
      <c r="E6" s="61"/>
      <c r="F6" s="61"/>
      <c r="G6" s="61"/>
      <c r="H6" s="6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63" t="s">
        <v>46</v>
      </c>
      <c r="D8" s="63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63" t="s">
        <v>45</v>
      </c>
      <c r="D9" s="63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63" t="s">
        <v>44</v>
      </c>
      <c r="D10" s="63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58"/>
      <c r="C12" s="58"/>
      <c r="D12" s="58"/>
      <c r="E12" s="58"/>
      <c r="F12" s="58"/>
      <c r="G12" s="58"/>
      <c r="H12" s="58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62" t="str">
        <f>"Input Customer Demand ("&amp;C9&amp;")"</f>
        <v>Input Customer Demand (Kgal)</v>
      </c>
      <c r="C14" s="62"/>
      <c r="D14" s="62"/>
      <c r="E14" s="62"/>
      <c r="F14" s="62"/>
      <c r="G14" s="62"/>
      <c r="H14" s="6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56" t="s">
        <v>16</v>
      </c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18</v>
      </c>
      <c r="C16" s="64"/>
      <c r="D16" s="64"/>
      <c r="E16" s="37"/>
      <c r="F16" s="64" t="s">
        <v>17</v>
      </c>
      <c r="G16" s="64"/>
      <c r="H16" s="64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f>(14840904*7.48)/1000</f>
        <v>111009.96192</v>
      </c>
      <c r="C18" s="21">
        <f>(3327768*7.48)/1000</f>
        <v>24891.70464</v>
      </c>
      <c r="D18" s="21"/>
      <c r="E18" s="22"/>
      <c r="F18" s="21">
        <f>(13931046*7.48)/1000</f>
        <v>104204.22408000001</v>
      </c>
      <c r="G18" s="21">
        <f>(3634263*7.48)/1000</f>
        <v>27184.287240000001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f>(16514055*7.48)/1000</f>
        <v>123525.13140000001</v>
      </c>
      <c r="C19" s="21">
        <f>(7544224*7.48)/1000-14014</f>
        <v>42416.79552</v>
      </c>
      <c r="D19" s="21">
        <f>14013780/1000</f>
        <v>14013.78</v>
      </c>
      <c r="E19" s="22"/>
      <c r="F19" s="21">
        <f>(15599932*7.48)/1000</f>
        <v>116687.49136</v>
      </c>
      <c r="G19" s="21">
        <f>(7026308*7.48)/1000-21965</f>
        <v>30591.783840000004</v>
      </c>
      <c r="H19" s="21">
        <f>21965020/1000</f>
        <v>21965.02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f>(15141549*7.48)/1000</f>
        <v>113258.78652000001</v>
      </c>
      <c r="C20" s="21">
        <f>(4468968*7.48)/1000</f>
        <v>33427.880640000003</v>
      </c>
      <c r="D20" s="21"/>
      <c r="E20" s="22"/>
      <c r="F20" s="21">
        <f>(14652268*7.48)/1000</f>
        <v>109598.96464000001</v>
      </c>
      <c r="G20" s="21">
        <f>(4011843*7.48)/1000</f>
        <v>30008.585640000001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f>(14321932*7.48)/1000</f>
        <v>107128.05136</v>
      </c>
      <c r="C21" s="21">
        <f>(3509953*7.48)/1000</f>
        <v>26254.44844</v>
      </c>
      <c r="D21" s="21"/>
      <c r="E21" s="22"/>
      <c r="F21" s="21">
        <f>(14659895*7.48)/1000</f>
        <v>109656.01460000001</v>
      </c>
      <c r="G21" s="21">
        <f>(2868915*7.48)/1000</f>
        <v>21459.484200000003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f>(19375729*7.48)/1000</f>
        <v>144930.45292000001</v>
      </c>
      <c r="C22" s="21">
        <f>(8515090*7.48)/1000-30444</f>
        <v>33248.873200000002</v>
      </c>
      <c r="D22" s="21">
        <f>30443600/1000</f>
        <v>30443.599999999999</v>
      </c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f>(20190911*7.48)/1000</f>
        <v>151028.01428</v>
      </c>
      <c r="C23" s="21">
        <f>(5705874*7.48)/1000</f>
        <v>42679.937520000007</v>
      </c>
      <c r="D23" s="21"/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f>(19226783*7.48)/1000</f>
        <v>143816.33684</v>
      </c>
      <c r="C24" s="21">
        <f>(4550334*7.48)/1000</f>
        <v>34036.498319999999</v>
      </c>
      <c r="D24" s="21"/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25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25">
      <c r="A26" s="37"/>
      <c r="B26" s="57"/>
      <c r="C26" s="57"/>
      <c r="D26" s="57"/>
      <c r="E26" s="57"/>
      <c r="F26" s="57"/>
      <c r="G26" s="57"/>
      <c r="H26" s="57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2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25" x14ac:dyDescent="0.35">
      <c r="A28" s="38"/>
      <c r="B28" s="62" t="str">
        <f>"Input Water Produced ("&amp;C10&amp;")"</f>
        <v>Input Water Produced (MG)</v>
      </c>
      <c r="C28" s="62"/>
      <c r="D28" s="62"/>
      <c r="E28" s="62"/>
      <c r="F28" s="62"/>
      <c r="G28" s="62"/>
      <c r="H28" s="6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38"/>
      <c r="B29" s="56" t="s">
        <v>21</v>
      </c>
      <c r="C29" s="56"/>
      <c r="D29" s="56"/>
      <c r="E29" s="56"/>
      <c r="F29" s="56"/>
      <c r="G29" s="56"/>
      <c r="H29" s="56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25" x14ac:dyDescent="0.3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25">
      <c r="A31" s="38"/>
      <c r="B31" s="35"/>
      <c r="C31" s="43" t="s">
        <v>8</v>
      </c>
      <c r="D31" s="65">
        <v>173.84700000000001</v>
      </c>
      <c r="E31" s="66"/>
      <c r="F31" s="65">
        <v>167.53200000000001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35"/>
      <c r="C32" s="43" t="s">
        <v>9</v>
      </c>
      <c r="D32" s="65">
        <v>195.333</v>
      </c>
      <c r="E32" s="66"/>
      <c r="F32" s="65">
        <v>190.30600000000001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25">
      <c r="A33" s="38"/>
      <c r="B33" s="35"/>
      <c r="C33" s="43" t="s">
        <v>10</v>
      </c>
      <c r="D33" s="65">
        <v>193.55099999999999</v>
      </c>
      <c r="E33" s="66"/>
      <c r="F33" s="65">
        <v>178.22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/>
      <c r="C34" s="43" t="s">
        <v>2</v>
      </c>
      <c r="D34" s="65">
        <v>228.09100000000001</v>
      </c>
      <c r="E34" s="66"/>
      <c r="F34" s="65">
        <v>240.625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/>
      <c r="C35" s="43" t="s">
        <v>11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/>
      <c r="C36" s="43" t="s">
        <v>12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/>
      <c r="C37" s="43" t="s">
        <v>13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25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25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25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25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25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X81"/>
  <sheetViews>
    <sheetView tabSelected="1" zoomScaleNormal="100" workbookViewId="0">
      <selection activeCell="P10" sqref="P10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32"/>
    <col min="20" max="16384" width="9.140625" style="8"/>
  </cols>
  <sheetData>
    <row r="1" spans="1:24" ht="23.25" x14ac:dyDescent="0.3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2</v>
      </c>
      <c r="E8" s="27">
        <v>1247687.48</v>
      </c>
      <c r="G8" s="27">
        <v>456933.34</v>
      </c>
      <c r="I8" s="27">
        <v>120507.53</v>
      </c>
      <c r="K8" s="27">
        <v>184060.42</v>
      </c>
      <c r="M8" s="27">
        <f>SUM(E8,G8,I8,K8)</f>
        <v>2009188.77</v>
      </c>
      <c r="N8" s="8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48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10</v>
      </c>
      <c r="E12" s="27">
        <v>1296933.18</v>
      </c>
      <c r="G12" s="27">
        <v>614364.5</v>
      </c>
      <c r="I12" s="27">
        <v>180721.27</v>
      </c>
      <c r="K12" s="27">
        <v>149509.09</v>
      </c>
      <c r="M12" s="27">
        <f>SUM(E12,G12,I12,K12)</f>
        <v>2241528.04</v>
      </c>
      <c r="N12" s="8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">
        <v>47</v>
      </c>
      <c r="J13" s="26"/>
      <c r="K13" s="26" t="s">
        <v>48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2</v>
      </c>
      <c r="E16" s="27">
        <v>1212502.55</v>
      </c>
      <c r="G16" s="27">
        <v>452901.44</v>
      </c>
      <c r="I16" s="27">
        <v>95046.31</v>
      </c>
      <c r="K16" s="27">
        <v>125204.61</v>
      </c>
      <c r="M16" s="27">
        <f>SUM(E16,G16,I16,K16)</f>
        <v>1885654.9100000001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">
        <v>47</v>
      </c>
      <c r="J17" s="26"/>
      <c r="K17" s="26" t="s">
        <v>48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10</v>
      </c>
      <c r="E20" s="27">
        <v>1367855.53</v>
      </c>
      <c r="G20" s="27">
        <v>312112.74</v>
      </c>
      <c r="I20" s="27">
        <v>157841.07999999999</v>
      </c>
      <c r="K20" s="27">
        <v>182807.85</v>
      </c>
      <c r="M20" s="27">
        <f>SUM(E20,G20,I20,K20)</f>
        <v>2020617.2000000002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">
        <v>47</v>
      </c>
      <c r="J21" s="26"/>
      <c r="K21" s="26" t="s">
        <v>48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2</v>
      </c>
      <c r="D29" s="49"/>
      <c r="E29" s="21">
        <v>2299</v>
      </c>
      <c r="F29" s="49"/>
      <c r="G29" s="27">
        <v>409861.62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28</v>
      </c>
      <c r="D30" s="26"/>
      <c r="E30" s="28" t="s">
        <v>37</v>
      </c>
      <c r="F30" s="26"/>
      <c r="G30" s="28" t="s">
        <v>38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10</v>
      </c>
      <c r="D33" s="49"/>
      <c r="E33" s="21">
        <v>2360</v>
      </c>
      <c r="F33" s="49"/>
      <c r="G33" s="27">
        <v>393920.88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32</v>
      </c>
      <c r="D34" s="26"/>
      <c r="E34" s="28" t="s">
        <v>37</v>
      </c>
      <c r="F34" s="26"/>
      <c r="G34" s="28" t="s">
        <v>38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2</v>
      </c>
      <c r="D37" s="26"/>
      <c r="E37" s="21">
        <v>1735</v>
      </c>
      <c r="F37" s="26"/>
      <c r="G37" s="27">
        <v>269848.75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33</v>
      </c>
      <c r="D38" s="26"/>
      <c r="E38" s="28" t="s">
        <v>37</v>
      </c>
      <c r="F38" s="26"/>
      <c r="G38" s="28" t="s">
        <v>38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10</v>
      </c>
      <c r="D41" s="26"/>
      <c r="E41" s="21">
        <v>1724</v>
      </c>
      <c r="F41" s="26"/>
      <c r="G41" s="27">
        <v>268176.87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34</v>
      </c>
      <c r="D42" s="26"/>
      <c r="E42" s="28" t="s">
        <v>37</v>
      </c>
      <c r="F42" s="26"/>
      <c r="G42" s="28" t="s">
        <v>38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39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40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2</v>
      </c>
      <c r="D50" s="26"/>
      <c r="E50" s="27">
        <v>1465968.68</v>
      </c>
      <c r="F50" s="26"/>
      <c r="G50" s="25" t="s">
        <v>10</v>
      </c>
      <c r="H50" s="26"/>
      <c r="I50" s="27">
        <v>1976455.44</v>
      </c>
      <c r="K50" s="32"/>
      <c r="L50" s="32"/>
      <c r="M50" s="32"/>
      <c r="T50" s="32"/>
      <c r="U50" s="32"/>
      <c r="V50" s="32"/>
    </row>
    <row r="51" spans="1:22" x14ac:dyDescent="0.25">
      <c r="C51" s="26" t="s">
        <v>28</v>
      </c>
      <c r="D51" s="26"/>
      <c r="E51" s="28" t="s">
        <v>41</v>
      </c>
      <c r="F51" s="26"/>
      <c r="G51" s="26" t="s">
        <v>32</v>
      </c>
      <c r="H51" s="26"/>
      <c r="I51" s="28" t="s">
        <v>41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2</v>
      </c>
      <c r="D55" s="26"/>
      <c r="E55" s="27">
        <v>1448338.97</v>
      </c>
      <c r="F55" s="26"/>
      <c r="G55" s="25" t="s">
        <v>10</v>
      </c>
      <c r="H55" s="26"/>
      <c r="I55" s="27">
        <v>2375148.9300000002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42</v>
      </c>
      <c r="D56" s="26"/>
      <c r="E56" s="28" t="s">
        <v>41</v>
      </c>
      <c r="F56" s="26"/>
      <c r="G56" s="28" t="s">
        <v>43</v>
      </c>
      <c r="H56" s="26"/>
      <c r="I56" s="28" t="s">
        <v>41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</row>
    <row r="68" spans="1:22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22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22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22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22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22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22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22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22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22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22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22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22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</sheetData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2020-06-08T18:11:49Z</cp:lastPrinted>
  <dcterms:created xsi:type="dcterms:W3CDTF">2020-04-08T14:34:01Z</dcterms:created>
  <dcterms:modified xsi:type="dcterms:W3CDTF">2020-06-10T18:28:59Z</dcterms:modified>
</cp:coreProperties>
</file>